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 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<sst xmlns="http://schemas.openxmlformats.org/spreadsheetml/2006/main" count="1423" uniqueCount="258">
  <si>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</si>
  <si>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</si>
  <si>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</si>
  <si>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</si>
  <si>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</si>
  <si>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</si>
  <si>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</si>
  <si>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</si>
  <si>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</si>
  <si>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</si>
  <si>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</si>
  <si>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</si>
  <si>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</si>
  <si>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</si>
  <si>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</si>
  <si>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</si>
  <si>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</si>
  <si>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</si>
  <si>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</si>
  <si>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</si>
  <si>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</si>
  <si>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</si>
  <si>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</si>
  <si>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</si>
  <si>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</si>
  <si>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</si>
  <si>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</si>
  <si>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</si>
  <si>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</si>
  <si>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</si>
  <si>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</si>
  <si>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</si>
  <si>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</si>
  <si>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</si>
  <si>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</si>
  <si>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</si>
  <si>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</si>
  <si>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</si>
  <si>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</si>
  <si>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</si>
  <si>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</si>
  <si>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</si>
  <si>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</si>
  <si>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</si>
  <si>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</si>
  <si>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</si>
  <si>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</si>
  <si>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</si>
  <si>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</si>
  <si>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</si>
  <si>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</si>
  <si>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</si>
  <si>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</si>
  <si>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</si>
  <si>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</si>
  <si>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</si>
  <si>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</si>
  <si>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</si>
  <si>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</si>
  <si>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</si>
  <si>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</si>
  <si>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</si>
  <si>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</si>
  <si>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</si>
  <si>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</si>
  <si>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</si>
  <si>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</si>
  <si>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</si>
  <si>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</si>
  <si>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</si>
  <si>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</si>
  <si>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</si>
  <si>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</si>
  <si>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</si>
  <si>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</si>
  <si>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</si>
  <si>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</si>
  <si>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</si>
  <si>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</si>
  <si>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</si>
  <si>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</si>
  <si>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</si>
  <si>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</si>
  <si>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</si>
  <si>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</si>
  <si>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</si>
  <si>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</si>
  <si>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</si>
  <si>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</si>
  <si>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</si>
  <si>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</si>
  <si>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</si>
  <si>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</si>
  <si>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</si>
  <si>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</si>
  <si>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</si>
  <si>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</si>
  <si>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</si>
  <si>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</si>
  <si>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</si>
  <si>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</si>
  <si>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</si>
  <si>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</si>
  <si>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</si>
  <si>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</si>
  <si>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</si>
  <si>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</si>
  <si>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</si>
  <si>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</si>
  <si>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</si>
  <si>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</si>
  <si>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</si>
  <si>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</si>
  <si>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</si>
  <si>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</si>
  <si>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</si>
  <si>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</si>
  <si>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</si>
  <si>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</si>
  <si>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</si>
  <si>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</si>
  <si>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</si>
  <si>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</si>
  <si>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</si>
  <si>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</si>
  <si>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</si>
  <si>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</si>
  <si>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</si>
  <si>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</si>
  <si>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</si>
  <si>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</si>
  <si>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</si>
  <si>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</si>
  <si>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</si>
  <si>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</si>
  <si>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</si>
  <si>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</si>
  <si>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</si>
  <si>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</si>
  <si>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</si>
  <si>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</si>
  <si>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</si>
  <si>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</si>
  <si>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</si>
  <si>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</si>
  <si>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</si>
  <si>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</si>
  <si>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</si>
  <si>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</si>
  <si>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</si>
  <si>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</si>
  <si>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</si>
  <si>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</si>
  <si>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</si>
  <si>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</si>
  <si>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</si>
  <si>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</si>
  <si>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</si>
  <si>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</si>
  <si>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</si>
  <si>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</si>
  <si>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</si>
  <si>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</si>
  <si>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</si>
  <si>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</si>
  <si>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</si>
  <si>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</si>
  <si>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</si>
  <si>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</si>
  <si>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</si>
  <si>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</si>
  <si>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</si>
  <si>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</si>
  <si>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</si>
  <si>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</si>
  <si>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</si>
  <si>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</si>
  <si>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</si>
  <si>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</si>
  <si>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</si>
  <si>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</si>
  <si>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</si>
  <si>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</si>
  <si>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</si>
  <si>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</si>
  <si>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</si>
  <si>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</si>
  <si>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</si>
  <si>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</si>
  <si>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</si>
  <si>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</si>
  <si>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</si>
  <si>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</si>
  <si>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</si>
  <si>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</si>
  <si>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</si>
  <si>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</si>
  <si>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</si>
  <si>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</si>
  <si>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</si>
  <si>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</si>
  <si>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</si>
  <si>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</si>
  <si>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</si>
  <si>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</si>
  <si>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</si>
  <si>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</si>
  <si>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</si>
  <si>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</si>
  <si>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</si>
  <si>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</si>
  <si>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</si>
  <si>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</si>
  <si>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</si>
  <si>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</si>
  <si>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</si>
  <si>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</si>
  <si>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</si>
  <si>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</si>
  <si>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</si>
  <si>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</si>
  <si>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</si>
  <si>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</si>
  <si>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</si>
  <si>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</si>
  <si>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</si>
  <si>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</si>
  <si>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</si>
  <si>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</si>
  <si>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</si>
  <si>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</si>
  <si>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</si>
  <si>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</si>
  <si>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</si>
  <si>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</si>
  <si>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</si>
  <si>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</si>
  <si>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</si>
  <si>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</si>
  <si>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</si>
  <si>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</si>
  <si>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</si>
  <si>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</si>
  <si>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</si>
  <si>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</si>
  <si>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</si>
  <si>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</si>
  <si>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</si>
  <si>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</si>
  <si>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</si>
  <si>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</si>
  <si>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</si>
  <si>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</si>
  <si>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</si>
  <si>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</si>
  <si>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</si>
  <si>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18.07.2014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</si>
  <si>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17.07.14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</si>
</sst>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4" fillId="0" borderId="11" xfId="20" applyFont="1" applyFill="1" applyBorder="1" applyAlignment="1" applyProtection="1">
      <alignment horizontal="center" vertical="center" wrapText="1"/>
      <protection/>
    </xf>
    <xf numFmtId="0" fontId="4" fillId="0" borderId="12" xfId="20" applyFont="1" applyFill="1" applyBorder="1" applyAlignment="1" applyProtection="1">
      <alignment horizontal="center" vertical="center" wrapText="1"/>
      <protection/>
    </xf>
    <xf numFmtId="174" fontId="4" fillId="0" borderId="11" xfId="20" applyNumberFormat="1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2" xfId="22" applyNumberFormat="1" applyFont="1" applyFill="1" applyBorder="1" applyAlignment="1" applyProtection="1">
      <alignment horizontal="center" wrapText="1"/>
      <protection/>
    </xf>
    <xf numFmtId="9" fontId="4" fillId="0" borderId="11" xfId="22" applyFont="1" applyFill="1" applyBorder="1" applyAlignment="1" applyProtection="1">
      <alignment horizontal="center" vertical="center" wrapText="1"/>
      <protection/>
    </xf>
    <xf numFmtId="9" fontId="4" fillId="0" borderId="12" xfId="22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11" xfId="22" applyFont="1" applyFill="1" applyBorder="1" applyAlignment="1" applyProtection="1">
      <alignment horizontal="center" vertical="center" wrapText="1"/>
      <protection/>
    </xf>
    <xf numFmtId="9" fontId="7" fillId="0" borderId="12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1" xfId="20" applyNumberFormat="1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2" xfId="20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2" xfId="20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2" xfId="22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7"/>
      <sheetName val="депозит"/>
      <sheetName val="залишки  (2)"/>
      <sheetName val="надх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</sheetNames>
    <sheetDataSet>
      <sheetData sheetId="12">
        <row r="8">
          <cell r="G8">
            <v>0</v>
          </cell>
        </row>
        <row r="9">
          <cell r="G9">
            <v>13825221.96</v>
          </cell>
        </row>
      </sheetData>
      <sheetData sheetId="13">
        <row r="52">
          <cell r="B52">
            <v>39345568.28999999</v>
          </cell>
        </row>
      </sheetData>
      <sheetData sheetId="18">
        <row r="28">
          <cell r="C28">
            <v>4870376.3</v>
          </cell>
        </row>
      </sheetData>
      <sheetData sheetId="19">
        <row r="28">
          <cell r="C28">
            <v>3219411</v>
          </cell>
        </row>
      </sheetData>
      <sheetData sheetId="20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48" sqref="G14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93" t="s">
        <v>256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252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249</v>
      </c>
      <c r="H4" s="189" t="s">
        <v>250</v>
      </c>
      <c r="I4" s="185" t="s">
        <v>188</v>
      </c>
      <c r="J4" s="191" t="s">
        <v>189</v>
      </c>
      <c r="K4" s="165" t="s">
        <v>254</v>
      </c>
      <c r="L4" s="166"/>
      <c r="M4" s="204"/>
      <c r="N4" s="183" t="s">
        <v>257</v>
      </c>
      <c r="O4" s="185" t="s">
        <v>136</v>
      </c>
      <c r="P4" s="185" t="s">
        <v>135</v>
      </c>
      <c r="Q4" s="165" t="s">
        <v>255</v>
      </c>
      <c r="R4" s="166"/>
    </row>
    <row r="5" spans="1:18" ht="82.5" customHeight="1">
      <c r="A5" s="196"/>
      <c r="B5" s="197"/>
      <c r="C5" s="198"/>
      <c r="D5" s="150" t="s">
        <v>209</v>
      </c>
      <c r="E5" s="158" t="s">
        <v>248</v>
      </c>
      <c r="F5" s="207"/>
      <c r="G5" s="188"/>
      <c r="H5" s="190"/>
      <c r="I5" s="186"/>
      <c r="J5" s="192"/>
      <c r="K5" s="180"/>
      <c r="L5" s="181"/>
      <c r="M5" s="151" t="s">
        <v>251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246226.65000000002</v>
      </c>
      <c r="G8" s="22">
        <f aca="true" t="shared" si="0" ref="G8:G30">F8-E8</f>
        <v>-25008.05999999994</v>
      </c>
      <c r="H8" s="51">
        <f>F8/E8*100</f>
        <v>90.77991898603244</v>
      </c>
      <c r="I8" s="36">
        <f aca="true" t="shared" si="1" ref="I8:I17">F8-D8</f>
        <v>-242249.64999999997</v>
      </c>
      <c r="J8" s="36">
        <f aca="true" t="shared" si="2" ref="J8:J14">F8/D8*100</f>
        <v>50.407082185972996</v>
      </c>
      <c r="K8" s="36">
        <f>F8-267884.5</f>
        <v>-21657.849999999977</v>
      </c>
      <c r="L8" s="136">
        <f>F8/267884.5</f>
        <v>0.9191522839134031</v>
      </c>
      <c r="M8" s="22">
        <f>M10+M19+M33+M56+M68+M30</f>
        <v>37968.180000000015</v>
      </c>
      <c r="N8" s="22">
        <f>N10+N19+N33+N56+N68+N30</f>
        <v>19807.629999999983</v>
      </c>
      <c r="O8" s="36">
        <f aca="true" t="shared" si="3" ref="O8:O71">N8-M8</f>
        <v>-18160.550000000032</v>
      </c>
      <c r="P8" s="36">
        <f>F8/M8*100</f>
        <v>648.5079084644034</v>
      </c>
      <c r="Q8" s="36">
        <f>N8-39945.7</f>
        <v>-20138.070000000014</v>
      </c>
      <c r="R8" s="134">
        <f>N8/39945.7</f>
        <v>0.49586388522419145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200691.83</v>
      </c>
      <c r="G9" s="22">
        <f t="shared" si="0"/>
        <v>200691.83</v>
      </c>
      <c r="H9" s="20"/>
      <c r="I9" s="56">
        <f t="shared" si="1"/>
        <v>-186321.37000000002</v>
      </c>
      <c r="J9" s="56">
        <f t="shared" si="2"/>
        <v>51.85658525342287</v>
      </c>
      <c r="K9" s="56"/>
      <c r="L9" s="135"/>
      <c r="M9" s="20">
        <f>M10+M17</f>
        <v>30824.800000000017</v>
      </c>
      <c r="N9" s="20">
        <f>N10+N17</f>
        <v>17693.699999999983</v>
      </c>
      <c r="O9" s="36">
        <f t="shared" si="3"/>
        <v>-13131.100000000035</v>
      </c>
      <c r="P9" s="56">
        <f>F9/M9*100</f>
        <v>651.0726103656791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200691.83</v>
      </c>
      <c r="G10" s="49">
        <f t="shared" si="0"/>
        <v>-20679.27000000002</v>
      </c>
      <c r="H10" s="40">
        <f aca="true" t="shared" si="4" ref="H10:H17">F10/E10*100</f>
        <v>90.65855028050183</v>
      </c>
      <c r="I10" s="56">
        <f t="shared" si="1"/>
        <v>-186321.37000000002</v>
      </c>
      <c r="J10" s="56">
        <f t="shared" si="2"/>
        <v>51.85658525342287</v>
      </c>
      <c r="K10" s="141">
        <f>F10-211325.8</f>
        <v>-10633.970000000001</v>
      </c>
      <c r="L10" s="142">
        <f>F10/211325.8</f>
        <v>0.9496797362177264</v>
      </c>
      <c r="M10" s="40">
        <f>E10-червень!E10</f>
        <v>30824.800000000017</v>
      </c>
      <c r="N10" s="40">
        <f>F10-червень!F10</f>
        <v>17693.699999999983</v>
      </c>
      <c r="O10" s="53">
        <f t="shared" si="3"/>
        <v>-13131.100000000035</v>
      </c>
      <c r="P10" s="56">
        <f aca="true" t="shared" si="5" ref="P10:P17">N10/M10*100</f>
        <v>57.40085904855822</v>
      </c>
      <c r="Q10" s="141">
        <f>N10-32192.1</f>
        <v>-14498.400000000016</v>
      </c>
      <c r="R10" s="142">
        <f>N10/32192.1</f>
        <v>0.5496286355969316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336.76</v>
      </c>
      <c r="G19" s="49">
        <f t="shared" si="0"/>
        <v>-696.8399999999999</v>
      </c>
      <c r="H19" s="40">
        <f aca="true" t="shared" si="6" ref="H19:H29">F19/E19*100</f>
        <v>32.58126934984521</v>
      </c>
      <c r="I19" s="56">
        <f aca="true" t="shared" si="7" ref="I19:I29">F19-D19</f>
        <v>-663.24</v>
      </c>
      <c r="J19" s="56">
        <f aca="true" t="shared" si="8" ref="J19:J29">F19/D19*100</f>
        <v>33.676</v>
      </c>
      <c r="K19" s="56">
        <f>F19-6042.8</f>
        <v>-5706.04</v>
      </c>
      <c r="L19" s="135">
        <f>F19/6042.8</f>
        <v>0.05572913219037532</v>
      </c>
      <c r="M19" s="40">
        <f>E19-червень!E19</f>
        <v>10.999999999999886</v>
      </c>
      <c r="N19" s="40">
        <f>F19-червень!F19</f>
        <v>18.889999999999986</v>
      </c>
      <c r="O19" s="53">
        <f t="shared" si="3"/>
        <v>7.8900000000001</v>
      </c>
      <c r="P19" s="56">
        <f aca="true" t="shared" si="9" ref="P19:P29">N19/M19*100</f>
        <v>171.72727272727437</v>
      </c>
      <c r="Q19" s="56">
        <f>N19-422.4</f>
        <v>-403.51</v>
      </c>
      <c r="R19" s="135">
        <f>N19/422.4</f>
        <v>0.04472064393939391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839.15</v>
      </c>
      <c r="G29" s="49">
        <f t="shared" si="0"/>
        <v>105.54999999999995</v>
      </c>
      <c r="H29" s="40">
        <f t="shared" si="6"/>
        <v>114.3879498364231</v>
      </c>
      <c r="I29" s="56">
        <f t="shared" si="7"/>
        <v>-90.85000000000002</v>
      </c>
      <c r="J29" s="56">
        <f t="shared" si="8"/>
        <v>90.23118279569893</v>
      </c>
      <c r="K29" s="148">
        <f>F29-2423.68</f>
        <v>-1584.5299999999997</v>
      </c>
      <c r="L29" s="149">
        <f>F29/2423.68</f>
        <v>0.3462297002904674</v>
      </c>
      <c r="M29" s="40">
        <f>E29-червень!E29</f>
        <v>-29</v>
      </c>
      <c r="N29" s="40">
        <f>F29-червень!F29</f>
        <v>10.279999999999973</v>
      </c>
      <c r="O29" s="148">
        <f t="shared" si="3"/>
        <v>39.27999999999997</v>
      </c>
      <c r="P29" s="145">
        <f t="shared" si="9"/>
        <v>-35.448275862068876</v>
      </c>
      <c r="Q29" s="148">
        <f>N29-422.37</f>
        <v>-412.09000000000003</v>
      </c>
      <c r="R29" s="149">
        <f>N29/422.37</f>
        <v>0.0243388498236143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f>2.91</f>
        <v>2.91</v>
      </c>
      <c r="G30" s="49">
        <f t="shared" si="0"/>
        <v>-15.59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E30-червень!E30</f>
        <v>0.5</v>
      </c>
      <c r="N30" s="40">
        <f>F30-червень!F30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41452.63</v>
      </c>
      <c r="G33" s="49">
        <f aca="true" t="shared" si="14" ref="G33:G72">F33-E33</f>
        <v>-3408.480000000003</v>
      </c>
      <c r="H33" s="40">
        <f aca="true" t="shared" si="15" ref="H33:H67">F33/E33*100</f>
        <v>92.40214965701918</v>
      </c>
      <c r="I33" s="56">
        <f>F33-D33</f>
        <v>-52113.37</v>
      </c>
      <c r="J33" s="56">
        <f aca="true" t="shared" si="16" ref="J33:J72">F33/D33*100</f>
        <v>44.303090866340334</v>
      </c>
      <c r="K33" s="141">
        <f>F33-46836.9</f>
        <v>-5384.270000000004</v>
      </c>
      <c r="L33" s="142">
        <f>F33/46836.9</f>
        <v>0.8850421355811336</v>
      </c>
      <c r="M33" s="40">
        <f>E33-червень!E33</f>
        <v>6579.879999999997</v>
      </c>
      <c r="N33" s="40">
        <f>F33-червень!F33</f>
        <v>1619.5699999999997</v>
      </c>
      <c r="O33" s="53">
        <f t="shared" si="3"/>
        <v>-4960.309999999998</v>
      </c>
      <c r="P33" s="56">
        <f aca="true" t="shared" si="17" ref="P33:P67">N33/M33*100</f>
        <v>24.61397472294328</v>
      </c>
      <c r="Q33" s="141">
        <f>N33-6866.9</f>
        <v>-5247.33</v>
      </c>
      <c r="R33" s="142">
        <f>N33/6866.9</f>
        <v>0.23585169435990036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30978.85</v>
      </c>
      <c r="G55" s="144">
        <f t="shared" si="14"/>
        <v>-2131.959999999999</v>
      </c>
      <c r="H55" s="146">
        <f t="shared" si="15"/>
        <v>93.56113607610325</v>
      </c>
      <c r="I55" s="145">
        <f t="shared" si="18"/>
        <v>-39287.15</v>
      </c>
      <c r="J55" s="145">
        <f t="shared" si="16"/>
        <v>44.08796573022514</v>
      </c>
      <c r="K55" s="148">
        <f>F55-33694.14</f>
        <v>-2715.290000000001</v>
      </c>
      <c r="L55" s="149">
        <f>F55/33694.14</f>
        <v>0.9194135834895919</v>
      </c>
      <c r="M55" s="40">
        <f>E55-червень!E55</f>
        <v>4779.879999999997</v>
      </c>
      <c r="N55" s="40">
        <f>F55-червень!F55</f>
        <v>1212.2599999999984</v>
      </c>
      <c r="O55" s="148">
        <f t="shared" si="3"/>
        <v>-3567.619999999999</v>
      </c>
      <c r="P55" s="148">
        <f t="shared" si="17"/>
        <v>25.361724562122877</v>
      </c>
      <c r="Q55" s="163">
        <f>N55-4878.99</f>
        <v>-3666.7300000000014</v>
      </c>
      <c r="R55" s="164">
        <f>N55/4878.99</f>
        <v>0.24846535860905605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0.36+3741.18</f>
        <v>3741.54</v>
      </c>
      <c r="G56" s="49">
        <f t="shared" si="14"/>
        <v>-208.76000000000022</v>
      </c>
      <c r="H56" s="40">
        <f t="shared" si="15"/>
        <v>94.7153380755892</v>
      </c>
      <c r="I56" s="56">
        <f t="shared" si="18"/>
        <v>-3118.46</v>
      </c>
      <c r="J56" s="56">
        <f t="shared" si="16"/>
        <v>54.54139941690962</v>
      </c>
      <c r="K56" s="56">
        <f>F56-3653.5</f>
        <v>88.03999999999996</v>
      </c>
      <c r="L56" s="135">
        <f>F56/3653.5</f>
        <v>1.024097440810182</v>
      </c>
      <c r="M56" s="40">
        <f>E56-червень!E56</f>
        <v>552</v>
      </c>
      <c r="N56" s="40">
        <f>F56-червень!F56</f>
        <v>475.4699999999998</v>
      </c>
      <c r="O56" s="53">
        <f t="shared" si="3"/>
        <v>-76.5300000000002</v>
      </c>
      <c r="P56" s="56">
        <f t="shared" si="17"/>
        <v>86.13586956521736</v>
      </c>
      <c r="Q56" s="56">
        <f>N56-464.2</f>
        <v>11.269999999999811</v>
      </c>
      <c r="R56" s="135">
        <f>N56/464.2</f>
        <v>1.024278328306764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F68-0.5</f>
        <v>0.48</v>
      </c>
      <c r="L68" s="135"/>
      <c r="M68" s="40">
        <f>E68-червень!E68</f>
        <v>0</v>
      </c>
      <c r="N68" s="40">
        <f>F68-червень!F68</f>
        <v>0</v>
      </c>
      <c r="O68" s="53">
        <f t="shared" si="3"/>
        <v>0</v>
      </c>
      <c r="P68" s="56"/>
      <c r="Q68" s="56">
        <f>N68-0.1</f>
        <v>-0.1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7275.579999999999</v>
      </c>
      <c r="G74" s="50">
        <f aca="true" t="shared" si="24" ref="G74:G92">F74-E74</f>
        <v>-1703.420000000001</v>
      </c>
      <c r="H74" s="51">
        <f aca="true" t="shared" si="25" ref="H74:H87">F74/E74*100</f>
        <v>81.02884508297137</v>
      </c>
      <c r="I74" s="36">
        <f aca="true" t="shared" si="26" ref="I74:I92">F74-D74</f>
        <v>-11082.720000000001</v>
      </c>
      <c r="J74" s="36">
        <f aca="true" t="shared" si="27" ref="J74:J92">F74/D74*100</f>
        <v>39.6310115860401</v>
      </c>
      <c r="K74" s="36">
        <f>F74-11260</f>
        <v>-3984.420000000001</v>
      </c>
      <c r="L74" s="136">
        <f>F74/11260</f>
        <v>0.6461438721136766</v>
      </c>
      <c r="M74" s="22">
        <f>M77+M86+M88+M89+M94+M95+M96+M97+M99+M87+M104</f>
        <v>1550.5</v>
      </c>
      <c r="N74" s="22">
        <f>N77+N86+N88+N89+N94+N95+N96+N97+N99+N32+N104+N87+N103</f>
        <v>934.0000000000003</v>
      </c>
      <c r="O74" s="55">
        <f aca="true" t="shared" si="28" ref="O74:O92">N74-M74</f>
        <v>-616.4999999999997</v>
      </c>
      <c r="P74" s="36">
        <f>N74/M74*100</f>
        <v>60.23863269912933</v>
      </c>
      <c r="Q74" s="36">
        <f>N74-2110.7</f>
        <v>-1176.6999999999994</v>
      </c>
      <c r="R74" s="136">
        <f>N74/2110.7</f>
        <v>0.44250722509120216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F77-1684.2</f>
        <v>-1579.01</v>
      </c>
      <c r="L77" s="135">
        <f>F77/1684.2</f>
        <v>0.062456952855955344</v>
      </c>
      <c r="M77" s="40">
        <f>E77-червень!E77</f>
        <v>0</v>
      </c>
      <c r="N77" s="40">
        <f>F77-червень!F77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N77-14.3</f>
        <v>-14.3</v>
      </c>
      <c r="R77" s="135">
        <f>N77/14.3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65.59</v>
      </c>
      <c r="G89" s="49">
        <f t="shared" si="24"/>
        <v>-33.41</v>
      </c>
      <c r="H89" s="40">
        <f>F89/E89*100</f>
        <v>66.25252525252525</v>
      </c>
      <c r="I89" s="56">
        <f t="shared" si="26"/>
        <v>-109.41</v>
      </c>
      <c r="J89" s="56">
        <f t="shared" si="27"/>
        <v>37.480000000000004</v>
      </c>
      <c r="K89" s="56">
        <f>F89-94</f>
        <v>-28.409999999999997</v>
      </c>
      <c r="L89" s="135">
        <f>F89/94</f>
        <v>0.6977659574468086</v>
      </c>
      <c r="M89" s="40">
        <f>E89-червень!E89</f>
        <v>15</v>
      </c>
      <c r="N89" s="40">
        <f>F89-червень!F89</f>
        <v>3.8200000000000003</v>
      </c>
      <c r="O89" s="53">
        <f t="shared" si="28"/>
        <v>-11.18</v>
      </c>
      <c r="P89" s="56">
        <f>N89/M89*100</f>
        <v>25.466666666666672</v>
      </c>
      <c r="Q89" s="56">
        <f>N89-12.8</f>
        <v>-8.98</v>
      </c>
      <c r="R89" s="135">
        <f>N89/12.8</f>
        <v>0.2984375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4143.34</v>
      </c>
      <c r="G95" s="49">
        <f t="shared" si="31"/>
        <v>36.840000000000146</v>
      </c>
      <c r="H95" s="40">
        <f>F95/E95*100</f>
        <v>100.89711433093875</v>
      </c>
      <c r="I95" s="56">
        <f t="shared" si="32"/>
        <v>-2856.66</v>
      </c>
      <c r="J95" s="56">
        <f>F95/D95*100</f>
        <v>59.190571428571424</v>
      </c>
      <c r="K95" s="56">
        <f>F95-4251.4</f>
        <v>-108.05999999999949</v>
      </c>
      <c r="L95" s="135">
        <f>F95/4251.4</f>
        <v>0.9745824904737265</v>
      </c>
      <c r="M95" s="40">
        <f>E95-червень!E95</f>
        <v>575</v>
      </c>
      <c r="N95" s="40">
        <f>F95-червень!F95</f>
        <v>591.6400000000003</v>
      </c>
      <c r="O95" s="53">
        <f t="shared" si="33"/>
        <v>16.640000000000327</v>
      </c>
      <c r="P95" s="56">
        <f>N95/M95*100</f>
        <v>102.89391304347832</v>
      </c>
      <c r="Q95" s="56">
        <f>N95-621.2</f>
        <v>-29.559999999999718</v>
      </c>
      <c r="R95" s="135">
        <f>N95/621.2</f>
        <v>0.9524146812620738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470.88</v>
      </c>
      <c r="G96" s="49">
        <f t="shared" si="31"/>
        <v>-133.62</v>
      </c>
      <c r="H96" s="40">
        <f>F96/E96*100</f>
        <v>77.89578163771712</v>
      </c>
      <c r="I96" s="56">
        <f t="shared" si="32"/>
        <v>-729.12</v>
      </c>
      <c r="J96" s="56">
        <f>F96/D96*100</f>
        <v>39.239999999999995</v>
      </c>
      <c r="K96" s="56">
        <f>F96-602.5</f>
        <v>-131.62</v>
      </c>
      <c r="L96" s="135">
        <f>F96/602.5</f>
        <v>0.7815435684647303</v>
      </c>
      <c r="M96" s="40">
        <f>E96-червень!E96</f>
        <v>130</v>
      </c>
      <c r="N96" s="40">
        <f>F96-червень!F96</f>
        <v>55.55000000000001</v>
      </c>
      <c r="O96" s="53">
        <f t="shared" si="33"/>
        <v>-74.44999999999999</v>
      </c>
      <c r="P96" s="56">
        <f>N96/M96*100</f>
        <v>42.73076923076924</v>
      </c>
      <c r="Q96" s="56">
        <f>N96-139.4</f>
        <v>-83.85</v>
      </c>
      <c r="R96" s="135">
        <f>N96/139.4</f>
        <v>0.39849354375896706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2251.85</v>
      </c>
      <c r="G99" s="49">
        <f t="shared" si="31"/>
        <v>64.84999999999991</v>
      </c>
      <c r="H99" s="40">
        <f>F99/E99*100</f>
        <v>102.9652491998171</v>
      </c>
      <c r="I99" s="56">
        <f t="shared" si="32"/>
        <v>-2320.85</v>
      </c>
      <c r="J99" s="56">
        <f>F99/D99*100</f>
        <v>49.24552233909944</v>
      </c>
      <c r="K99" s="56">
        <f>F99-2623.7</f>
        <v>-371.8499999999999</v>
      </c>
      <c r="L99" s="135">
        <f>F99/2623.7</f>
        <v>0.8582726683690971</v>
      </c>
      <c r="M99" s="40">
        <f>E99-червень!E99</f>
        <v>350</v>
      </c>
      <c r="N99" s="40">
        <f>F99-червень!F99</f>
        <v>282.56999999999994</v>
      </c>
      <c r="O99" s="53">
        <f t="shared" si="33"/>
        <v>-67.43000000000006</v>
      </c>
      <c r="P99" s="56">
        <f>N99/M99*100</f>
        <v>80.73428571428569</v>
      </c>
      <c r="Q99" s="56">
        <f>N99-632</f>
        <v>-349.43000000000006</v>
      </c>
      <c r="R99" s="135">
        <f>N99/632</f>
        <v>0.44710443037974673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449.2</v>
      </c>
      <c r="G102" s="144"/>
      <c r="H102" s="146"/>
      <c r="I102" s="145"/>
      <c r="J102" s="145"/>
      <c r="K102" s="148">
        <f>F102-325</f>
        <v>124.19999999999999</v>
      </c>
      <c r="L102" s="149">
        <f>F102/325</f>
        <v>1.382153846153846</v>
      </c>
      <c r="M102" s="40">
        <f>E102-червень!E102</f>
        <v>0</v>
      </c>
      <c r="N102" s="40">
        <f>F102-червень!F102</f>
        <v>85.89999999999998</v>
      </c>
      <c r="O102" s="53"/>
      <c r="P102" s="60"/>
      <c r="Q102" s="60">
        <f>N102-80.2</f>
        <v>5.699999999999974</v>
      </c>
      <c r="R102" s="138">
        <f>N102/80.2</f>
        <v>1.0710723192019946</v>
      </c>
    </row>
    <row r="103" spans="1:18" s="6" customFormat="1" ht="15.75">
      <c r="A103" s="8"/>
      <c r="B103" s="67" t="s">
        <v>100</v>
      </c>
      <c r="C103" s="167">
        <v>24060600</v>
      </c>
      <c r="D103" s="144"/>
      <c r="E103" s="144"/>
      <c r="F103" s="168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-51.37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14.13</v>
      </c>
      <c r="G105" s="49">
        <f>F105-E105</f>
        <v>-4.0699999999999985</v>
      </c>
      <c r="H105" s="40">
        <f>F105/E105*100</f>
        <v>77.63736263736266</v>
      </c>
      <c r="I105" s="56">
        <f t="shared" si="34"/>
        <v>-30.869999999999997</v>
      </c>
      <c r="J105" s="56">
        <f aca="true" t="shared" si="36" ref="J105:J110">F105/D105*100</f>
        <v>31.4</v>
      </c>
      <c r="K105" s="56">
        <f>F105-13.4</f>
        <v>0.7300000000000004</v>
      </c>
      <c r="L105" s="135">
        <f>F105/13.4</f>
        <v>1.0544776119402985</v>
      </c>
      <c r="M105" s="40">
        <f>E105-червень!E105</f>
        <v>3</v>
      </c>
      <c r="N105" s="40">
        <f>F105-червень!F105</f>
        <v>0.22000000000000064</v>
      </c>
      <c r="O105" s="53">
        <f t="shared" si="35"/>
        <v>-2.7799999999999994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253516.44</v>
      </c>
      <c r="G107" s="50">
        <f>F107-E107</f>
        <v>-26715.469999999972</v>
      </c>
      <c r="H107" s="51">
        <f>F107/E107*100</f>
        <v>90.46665670586908</v>
      </c>
      <c r="I107" s="36">
        <f t="shared" si="34"/>
        <v>-253363.15999999997</v>
      </c>
      <c r="J107" s="36">
        <f t="shared" si="36"/>
        <v>50.015119961426734</v>
      </c>
      <c r="K107" s="36">
        <f>F107-279160.4</f>
        <v>-25643.96000000002</v>
      </c>
      <c r="L107" s="136">
        <f>F107/279160.4</f>
        <v>0.9081389767316567</v>
      </c>
      <c r="M107" s="22">
        <f>M8+M74+M105+M106</f>
        <v>39521.680000000015</v>
      </c>
      <c r="N107" s="22">
        <f>N8+N74+N105+N106</f>
        <v>20741.849999999984</v>
      </c>
      <c r="O107" s="55">
        <f t="shared" si="35"/>
        <v>-18779.83000000003</v>
      </c>
      <c r="P107" s="36">
        <f>N107/M107*100</f>
        <v>52.482207234105374</v>
      </c>
      <c r="Q107" s="36">
        <f>N107-42056.4</f>
        <v>-21314.550000000017</v>
      </c>
      <c r="R107" s="136">
        <f>N107/42056.4</f>
        <v>0.493191285987388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201162.71</v>
      </c>
      <c r="G108" s="71">
        <f>G10-G18+G96</f>
        <v>-20812.890000000018</v>
      </c>
      <c r="H108" s="72">
        <f>F108/E108*100</f>
        <v>90.62379378634408</v>
      </c>
      <c r="I108" s="52">
        <f t="shared" si="34"/>
        <v>-187050.49000000002</v>
      </c>
      <c r="J108" s="52">
        <f t="shared" si="36"/>
        <v>51.81758631597276</v>
      </c>
      <c r="K108" s="52">
        <f>F108-212017.3</f>
        <v>-10854.589999999997</v>
      </c>
      <c r="L108" s="137">
        <f>F108/212017.3</f>
        <v>0.948803281619</v>
      </c>
      <c r="M108" s="71">
        <f>M10-M18+M96</f>
        <v>30954.800000000017</v>
      </c>
      <c r="N108" s="71">
        <f>N10-N18+N96</f>
        <v>17749.24999999998</v>
      </c>
      <c r="O108" s="53">
        <f t="shared" si="35"/>
        <v>-13205.550000000036</v>
      </c>
      <c r="P108" s="52">
        <f>N108/M108*100</f>
        <v>57.33924948634774</v>
      </c>
      <c r="Q108" s="52">
        <f>N108-32331.5</f>
        <v>-14582.250000000018</v>
      </c>
      <c r="R108" s="137">
        <f>N108/32331.5</f>
        <v>0.5489770038507332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52353.73000000001</v>
      </c>
      <c r="G109" s="62">
        <f>F109-E109</f>
        <v>-5902.579999999958</v>
      </c>
      <c r="H109" s="72">
        <f>F109/E109*100</f>
        <v>89.86791302092433</v>
      </c>
      <c r="I109" s="52">
        <f t="shared" si="34"/>
        <v>-66312.66999999995</v>
      </c>
      <c r="J109" s="52">
        <f t="shared" si="36"/>
        <v>44.118410940249326</v>
      </c>
      <c r="K109" s="52">
        <f>F109-67143.1</f>
        <v>-14789.369999999995</v>
      </c>
      <c r="L109" s="137">
        <f>F109/67143.1</f>
        <v>0.779733583942356</v>
      </c>
      <c r="M109" s="71">
        <f>M107-M108</f>
        <v>8566.879999999997</v>
      </c>
      <c r="N109" s="71">
        <f>N107-N108</f>
        <v>2992.600000000002</v>
      </c>
      <c r="O109" s="53">
        <f t="shared" si="35"/>
        <v>-5574.279999999995</v>
      </c>
      <c r="P109" s="52">
        <f>N109/M109*100</f>
        <v>34.932204022934876</v>
      </c>
      <c r="Q109" s="52">
        <f>N109-9724.9</f>
        <v>-6732.299999999997</v>
      </c>
      <c r="R109" s="137">
        <f>N109/9924.9</f>
        <v>0.30152444860905425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201162.71</v>
      </c>
      <c r="G110" s="111">
        <f>F110-E110</f>
        <v>-15442.99000000002</v>
      </c>
      <c r="H110" s="72">
        <f>F110/E110*100</f>
        <v>92.87046001097846</v>
      </c>
      <c r="I110" s="81">
        <f t="shared" si="34"/>
        <v>-187050.49000000002</v>
      </c>
      <c r="J110" s="52">
        <f t="shared" si="36"/>
        <v>51.81758631597276</v>
      </c>
      <c r="K110" s="52"/>
      <c r="L110" s="137"/>
      <c r="M110" s="72">
        <f>E110-травень!E109</f>
        <v>65489.30000000002</v>
      </c>
      <c r="N110" s="71">
        <f>N108</f>
        <v>17749.24999999998</v>
      </c>
      <c r="O110" s="118">
        <f t="shared" si="35"/>
        <v>-47740.05000000003</v>
      </c>
      <c r="P110" s="52">
        <f>N110/M110*100</f>
        <v>27.102519037461047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699.88</v>
      </c>
      <c r="G115" s="49">
        <f t="shared" si="37"/>
        <v>-1324.7199999999998</v>
      </c>
      <c r="H115" s="40">
        <f aca="true" t="shared" si="39" ref="H115:H126">F115/E115*100</f>
        <v>34.56880371431394</v>
      </c>
      <c r="I115" s="60">
        <f t="shared" si="38"/>
        <v>-2971.62</v>
      </c>
      <c r="J115" s="60">
        <f aca="true" t="shared" si="40" ref="J115:J121">F115/D115*100</f>
        <v>19.06250851150756</v>
      </c>
      <c r="K115" s="60">
        <f>F115-2198.8</f>
        <v>-1498.92</v>
      </c>
      <c r="L115" s="138">
        <f>F115/2198.8</f>
        <v>0.3183008913953065</v>
      </c>
      <c r="M115" s="40">
        <f>E115-червень!E115</f>
        <v>327.5</v>
      </c>
      <c r="N115" s="40">
        <f>F115-червень!F115</f>
        <v>93.79999999999995</v>
      </c>
      <c r="O115" s="53">
        <f aca="true" t="shared" si="41" ref="O115:O126">N115-M115</f>
        <v>-233.70000000000005</v>
      </c>
      <c r="P115" s="60">
        <f>N115/M115*100</f>
        <v>28.641221374045788</v>
      </c>
      <c r="Q115" s="60">
        <f>N115-307.3</f>
        <v>-213.50000000000006</v>
      </c>
      <c r="R115" s="138">
        <f>N115/307.3</f>
        <v>0.3052391799544418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882.08</v>
      </c>
      <c r="G117" s="62">
        <f t="shared" si="37"/>
        <v>-1299.02</v>
      </c>
      <c r="H117" s="72">
        <f t="shared" si="39"/>
        <v>40.4419788180276</v>
      </c>
      <c r="I117" s="61">
        <f t="shared" si="38"/>
        <v>-3057.52</v>
      </c>
      <c r="J117" s="61">
        <f t="shared" si="40"/>
        <v>22.39009036450401</v>
      </c>
      <c r="K117" s="61">
        <f>F117-2366</f>
        <v>-1483.92</v>
      </c>
      <c r="L117" s="139">
        <f>F117/2366</f>
        <v>0.37281487743026204</v>
      </c>
      <c r="M117" s="62">
        <f>M115+M116+M114</f>
        <v>349.5</v>
      </c>
      <c r="N117" s="38">
        <f>SUM(N114:N116)</f>
        <v>111.92999999999995</v>
      </c>
      <c r="O117" s="61">
        <f t="shared" si="41"/>
        <v>-237.57000000000005</v>
      </c>
      <c r="P117" s="61">
        <f>N117/M117*100</f>
        <v>32.02575107296136</v>
      </c>
      <c r="Q117" s="61">
        <f>N117-335.5</f>
        <v>-223.57000000000005</v>
      </c>
      <c r="R117" s="139">
        <f>N117/335.5</f>
        <v>0.33362146050670627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152.6</v>
      </c>
      <c r="G119" s="49">
        <f t="shared" si="37"/>
        <v>-29.900000000000006</v>
      </c>
      <c r="H119" s="40">
        <f t="shared" si="39"/>
        <v>83.61643835616438</v>
      </c>
      <c r="I119" s="60">
        <f t="shared" si="38"/>
        <v>-114.6</v>
      </c>
      <c r="J119" s="60">
        <f t="shared" si="40"/>
        <v>57.11077844311377</v>
      </c>
      <c r="K119" s="60">
        <f>F119-172.6</f>
        <v>-20</v>
      </c>
      <c r="L119" s="138">
        <f>F119/172.6</f>
        <v>0.884125144843569</v>
      </c>
      <c r="M119" s="40">
        <f>E119-червень!E119</f>
        <v>73</v>
      </c>
      <c r="N119" s="40">
        <f>F119-червень!F119</f>
        <v>14.319999999999993</v>
      </c>
      <c r="O119" s="53">
        <f>N119-M119</f>
        <v>-58.68000000000001</v>
      </c>
      <c r="P119" s="60">
        <f>N119/M119*100</f>
        <v>19.616438356164373</v>
      </c>
      <c r="Q119" s="60">
        <f>N119-76.8</f>
        <v>-62.480000000000004</v>
      </c>
      <c r="R119" s="138">
        <f>N119/76.8</f>
        <v>0.18645833333333325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42220.85</v>
      </c>
      <c r="G120" s="49">
        <f t="shared" si="37"/>
        <v>908.25</v>
      </c>
      <c r="H120" s="40">
        <f t="shared" si="39"/>
        <v>102.19848181910605</v>
      </c>
      <c r="I120" s="53">
        <f t="shared" si="38"/>
        <v>-29755.140000000007</v>
      </c>
      <c r="J120" s="60">
        <f t="shared" si="40"/>
        <v>58.65963080188268</v>
      </c>
      <c r="K120" s="60">
        <f>F120-39659.2</f>
        <v>2561.6500000000015</v>
      </c>
      <c r="L120" s="138">
        <f>F120/39659.2</f>
        <v>1.0645915701779158</v>
      </c>
      <c r="M120" s="40">
        <f>E120-червень!E120</f>
        <v>7100</v>
      </c>
      <c r="N120" s="40">
        <f>F120-червень!F120</f>
        <v>4167.139999999999</v>
      </c>
      <c r="O120" s="53">
        <f t="shared" si="41"/>
        <v>-2932.8600000000006</v>
      </c>
      <c r="P120" s="60">
        <f aca="true" t="shared" si="42" ref="P120:P125">N120/M120*100</f>
        <v>58.69211267605633</v>
      </c>
      <c r="Q120" s="60">
        <v>7148.5</v>
      </c>
      <c r="R120" s="138">
        <f>N120/7148.5</f>
        <v>0.5829390781282786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1678.12</v>
      </c>
      <c r="G121" s="49">
        <f t="shared" si="37"/>
        <v>-4.880000000000109</v>
      </c>
      <c r="H121" s="40">
        <f t="shared" si="39"/>
        <v>99.71004159239453</v>
      </c>
      <c r="I121" s="60">
        <f t="shared" si="38"/>
        <v>-8321.880000000001</v>
      </c>
      <c r="J121" s="60">
        <f t="shared" si="40"/>
        <v>16.7812</v>
      </c>
      <c r="K121" s="60">
        <f>F121-1120.9</f>
        <v>557.2199999999998</v>
      </c>
      <c r="L121" s="138">
        <f>F121/1120.9</f>
        <v>1.4971183870104379</v>
      </c>
      <c r="M121" s="40">
        <f>E121-червень!E121</f>
        <v>16</v>
      </c>
      <c r="N121" s="40">
        <f>F121-червень!F121</f>
        <v>19.179999999999836</v>
      </c>
      <c r="O121" s="53">
        <f t="shared" si="41"/>
        <v>3.1799999999998363</v>
      </c>
      <c r="P121" s="60">
        <f t="shared" si="42"/>
        <v>119.87499999999898</v>
      </c>
      <c r="Q121" s="60">
        <f>N121-496.3</f>
        <v>-477.1200000000002</v>
      </c>
      <c r="R121" s="138">
        <f>N121/496.3</f>
        <v>0.03864598025387837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2218.05</v>
      </c>
      <c r="G122" s="49">
        <f t="shared" si="37"/>
        <v>-5014.45</v>
      </c>
      <c r="H122" s="40">
        <f t="shared" si="39"/>
        <v>30.66781887314207</v>
      </c>
      <c r="I122" s="60">
        <f t="shared" si="38"/>
        <v>-20859.95</v>
      </c>
      <c r="J122" s="60">
        <f>F122/D122*100</f>
        <v>9.611101481930843</v>
      </c>
      <c r="K122" s="60">
        <f>F122-14177.3</f>
        <v>-11959.25</v>
      </c>
      <c r="L122" s="138">
        <f>F122/14177.3</f>
        <v>0.156450805160362</v>
      </c>
      <c r="M122" s="40">
        <f>E122-червень!E122</f>
        <v>2409.8999999999996</v>
      </c>
      <c r="N122" s="40">
        <f>F122-червень!F122</f>
        <v>100.92000000000007</v>
      </c>
      <c r="O122" s="53">
        <f t="shared" si="41"/>
        <v>-2308.9799999999996</v>
      </c>
      <c r="P122" s="60">
        <f t="shared" si="42"/>
        <v>4.187725631768957</v>
      </c>
      <c r="Q122" s="60">
        <f>N122-329.4</f>
        <v>-228.4799999999999</v>
      </c>
      <c r="R122" s="138">
        <f>N122/329.4</f>
        <v>0.30637522768670333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47033.840000000004</v>
      </c>
      <c r="G124" s="62">
        <f t="shared" si="37"/>
        <v>-4428.799999999996</v>
      </c>
      <c r="H124" s="72">
        <f t="shared" si="39"/>
        <v>91.39414534505033</v>
      </c>
      <c r="I124" s="61">
        <f t="shared" si="38"/>
        <v>-60287.35</v>
      </c>
      <c r="J124" s="61">
        <f>F124/D124*100</f>
        <v>43.825306074224486</v>
      </c>
      <c r="K124" s="61">
        <f>F124-56479.4</f>
        <v>-9445.559999999998</v>
      </c>
      <c r="L124" s="139">
        <f>F124/56479.4</f>
        <v>0.8327609712567768</v>
      </c>
      <c r="M124" s="62">
        <f>M120+M121+M122+M123+M119</f>
        <v>9788.49</v>
      </c>
      <c r="N124" s="62">
        <f>N120+N121+N122+N123+N119</f>
        <v>4337.469999999999</v>
      </c>
      <c r="O124" s="61">
        <f t="shared" si="41"/>
        <v>-5451.02</v>
      </c>
      <c r="P124" s="61">
        <f t="shared" si="42"/>
        <v>44.3119418827623</v>
      </c>
      <c r="Q124" s="61">
        <f>N124-8200.3</f>
        <v>-3862.83</v>
      </c>
      <c r="R124" s="139">
        <f>N124/8200.3</f>
        <v>0.5289404046193431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E127-червень!E127</f>
        <v>0</v>
      </c>
      <c r="N127" s="40">
        <f>F127-червень!F127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5300.84</v>
      </c>
      <c r="G128" s="49">
        <f aca="true" t="shared" si="43" ref="G128:G135">F128-E128</f>
        <v>285.34000000000015</v>
      </c>
      <c r="H128" s="40">
        <f>F128/E128*100</f>
        <v>105.68916359286213</v>
      </c>
      <c r="I128" s="60">
        <f aca="true" t="shared" si="44" ref="I128:I135">F128-D128</f>
        <v>-3399.16</v>
      </c>
      <c r="J128" s="60">
        <f>F128/D128*100</f>
        <v>60.92919540229885</v>
      </c>
      <c r="K128" s="60">
        <f>F128-6320.8</f>
        <v>-1019.96</v>
      </c>
      <c r="L128" s="138">
        <f>F128/6320.8</f>
        <v>0.838634350082268</v>
      </c>
      <c r="M128" s="40">
        <f>E128-червень!E128</f>
        <v>3</v>
      </c>
      <c r="N128" s="40">
        <f>F128-червень!F128</f>
        <v>5.279999999999745</v>
      </c>
      <c r="O128" s="53">
        <f aca="true" t="shared" si="45" ref="O128:O135">N128-M128</f>
        <v>2.2799999999997453</v>
      </c>
      <c r="P128" s="60">
        <f>N128/M128*100</f>
        <v>175.99999999999153</v>
      </c>
      <c r="Q128" s="60">
        <f>N128-19.4</f>
        <v>-14.120000000000253</v>
      </c>
      <c r="R128" s="162">
        <f>N128/19.4</f>
        <v>0.2721649484535951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0.41</v>
      </c>
      <c r="G129" s="49">
        <f t="shared" si="43"/>
        <v>0.41</v>
      </c>
      <c r="H129" s="40"/>
      <c r="I129" s="60">
        <f t="shared" si="44"/>
        <v>0.41</v>
      </c>
      <c r="J129" s="60"/>
      <c r="K129" s="60">
        <f>F129-(-0.1)</f>
        <v>0.51</v>
      </c>
      <c r="L129" s="138">
        <f>F129/(-0.1)</f>
        <v>-4.1</v>
      </c>
      <c r="M129" s="40">
        <f>E129-червень!E129</f>
        <v>0</v>
      </c>
      <c r="N129" s="40">
        <f>F129-червень!F129</f>
        <v>0.14999999999999997</v>
      </c>
      <c r="O129" s="53">
        <f t="shared" si="45"/>
        <v>0.14999999999999997</v>
      </c>
      <c r="P129" s="60"/>
      <c r="Q129" s="60">
        <f>N129-0.3</f>
        <v>-0.15000000000000002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5333.18</v>
      </c>
      <c r="G130" s="62">
        <f t="shared" si="43"/>
        <v>291.3200000000006</v>
      </c>
      <c r="H130" s="72">
        <f>F130/E130*100</f>
        <v>105.77802636328657</v>
      </c>
      <c r="I130" s="61">
        <f t="shared" si="44"/>
        <v>-3417.5200000000004</v>
      </c>
      <c r="J130" s="61">
        <f>F130/D130*100</f>
        <v>60.94575291119567</v>
      </c>
      <c r="K130" s="61">
        <f>F130-6438.4</f>
        <v>-1105.2199999999993</v>
      </c>
      <c r="L130" s="139">
        <f>G130/6438.4</f>
        <v>0.045247266401590554</v>
      </c>
      <c r="M130" s="62">
        <f>M125+M128+M129+M127</f>
        <v>5</v>
      </c>
      <c r="N130" s="62">
        <f>N125+N128+N129+N127</f>
        <v>5.429999999999746</v>
      </c>
      <c r="O130" s="61">
        <f t="shared" si="45"/>
        <v>0.4299999999997457</v>
      </c>
      <c r="P130" s="61">
        <f>N130/M130*100</f>
        <v>108.59999999999492</v>
      </c>
      <c r="Q130" s="61">
        <f>N130-28.2</f>
        <v>-22.770000000000252</v>
      </c>
      <c r="R130" s="137">
        <f>N130/28.2</f>
        <v>0.19255319148935268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21.99</v>
      </c>
      <c r="G131" s="49">
        <f>F131-E131</f>
        <v>5.939999999999998</v>
      </c>
      <c r="H131" s="40">
        <f>F131/E131*100</f>
        <v>137.0093457943925</v>
      </c>
      <c r="I131" s="60">
        <f>F131-D131</f>
        <v>-8.010000000000002</v>
      </c>
      <c r="J131" s="60">
        <f>F131/D131*100</f>
        <v>73.3</v>
      </c>
      <c r="K131" s="60">
        <f>F131-17.3</f>
        <v>4.689999999999998</v>
      </c>
      <c r="L131" s="138">
        <f>F131/17.3</f>
        <v>1.2710982658959535</v>
      </c>
      <c r="M131" s="40">
        <f>E131-червень!E131</f>
        <v>0.40000000000000036</v>
      </c>
      <c r="N131" s="40">
        <f>F131-червень!F131</f>
        <v>0.8699999999999974</v>
      </c>
      <c r="O131" s="53">
        <f>N131-M131</f>
        <v>0.4699999999999971</v>
      </c>
      <c r="P131" s="60">
        <f>N131/M131*100</f>
        <v>217.49999999999918</v>
      </c>
      <c r="Q131" s="60">
        <f>N131-0.5</f>
        <v>0.36999999999999744</v>
      </c>
      <c r="R131" s="138">
        <f>N131/0.5</f>
        <v>1.7399999999999949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53271.090000000004</v>
      </c>
      <c r="G134" s="50">
        <f t="shared" si="43"/>
        <v>-5430.559999999998</v>
      </c>
      <c r="H134" s="51">
        <f>F134/E134*100</f>
        <v>90.74888014221065</v>
      </c>
      <c r="I134" s="36">
        <f t="shared" si="44"/>
        <v>-66770.4</v>
      </c>
      <c r="J134" s="36">
        <f>F134/D134*100</f>
        <v>44.377231572183916</v>
      </c>
      <c r="K134" s="36">
        <f>F134-65301.1</f>
        <v>-12030.009999999995</v>
      </c>
      <c r="L134" s="136">
        <f>F134/65301.1</f>
        <v>0.8157763039213736</v>
      </c>
      <c r="M134" s="31">
        <f>M117+M131+M124+M130+M133+M132</f>
        <v>10143.39</v>
      </c>
      <c r="N134" s="31">
        <f>N117+N131+N124+N130+N133+N132</f>
        <v>4455.699999999999</v>
      </c>
      <c r="O134" s="36">
        <f t="shared" si="45"/>
        <v>-5687.6900000000005</v>
      </c>
      <c r="P134" s="36">
        <f>N134/M134*100</f>
        <v>43.92712889872123</v>
      </c>
      <c r="Q134" s="36">
        <f>N134-8564.5</f>
        <v>-4108.800000000001</v>
      </c>
      <c r="R134" s="136">
        <f>N134/8564.5</f>
        <v>0.5202522038647905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306787.53</v>
      </c>
      <c r="G135" s="50">
        <f t="shared" si="43"/>
        <v>-32146.02999999997</v>
      </c>
      <c r="H135" s="51">
        <f>F135/E135*100</f>
        <v>90.51553643728877</v>
      </c>
      <c r="I135" s="36">
        <f t="shared" si="44"/>
        <v>-320133.55999999994</v>
      </c>
      <c r="J135" s="36">
        <f>F135/D135*100</f>
        <v>48.93558932592298</v>
      </c>
      <c r="K135" s="36">
        <f>F135-344461.4</f>
        <v>-37673.869999999995</v>
      </c>
      <c r="L135" s="136">
        <f>F135/344461.4</f>
        <v>0.8906296322316521</v>
      </c>
      <c r="M135" s="22">
        <f>M107+M134</f>
        <v>49665.070000000014</v>
      </c>
      <c r="N135" s="22">
        <f>N107+N134</f>
        <v>25197.54999999998</v>
      </c>
      <c r="O135" s="36">
        <f t="shared" si="45"/>
        <v>-24467.520000000033</v>
      </c>
      <c r="P135" s="36">
        <f>N135/M135*100</f>
        <v>50.7349531572189</v>
      </c>
      <c r="Q135" s="36">
        <f>N135-50620.9</f>
        <v>-25423.35000000002</v>
      </c>
      <c r="R135" s="136">
        <f>N135/50620.9</f>
        <v>0.4977696959161133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10</v>
      </c>
      <c r="D137" s="4" t="s">
        <v>118</v>
      </c>
    </row>
    <row r="138" spans="2:17" ht="31.5">
      <c r="B138" s="78" t="s">
        <v>154</v>
      </c>
      <c r="C138" s="39">
        <f>IF(O107&lt;0,ABS(O107/C137),0)</f>
        <v>1877.9830000000031</v>
      </c>
      <c r="D138" s="4" t="s">
        <v>104</v>
      </c>
      <c r="G138" s="182"/>
      <c r="H138" s="182"/>
      <c r="I138" s="182"/>
      <c r="J138" s="182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41837</v>
      </c>
      <c r="D139" s="39">
        <v>779.9</v>
      </c>
      <c r="N139" s="179"/>
      <c r="O139" s="179"/>
    </row>
    <row r="140" spans="3:15" ht="15.75">
      <c r="C140" s="120">
        <v>41836</v>
      </c>
      <c r="D140" s="39">
        <v>1408.5</v>
      </c>
      <c r="F140" s="4" t="s">
        <v>166</v>
      </c>
      <c r="G140" s="175" t="s">
        <v>151</v>
      </c>
      <c r="H140" s="175"/>
      <c r="I140" s="115">
        <v>13825.22196</v>
      </c>
      <c r="J140" s="176" t="s">
        <v>161</v>
      </c>
      <c r="K140" s="176"/>
      <c r="L140" s="176"/>
      <c r="M140" s="176"/>
      <c r="N140" s="179"/>
      <c r="O140" s="179"/>
    </row>
    <row r="141" spans="3:15" ht="15.75">
      <c r="C141" s="120">
        <v>41835</v>
      </c>
      <c r="D141" s="39">
        <v>3612.3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179"/>
      <c r="O141" s="179"/>
    </row>
    <row r="142" spans="7:13" ht="15.75" customHeight="1">
      <c r="G142" s="175" t="s">
        <v>148</v>
      </c>
      <c r="H142" s="175"/>
      <c r="I142" s="112">
        <v>0</v>
      </c>
      <c r="J142" s="176" t="s">
        <v>163</v>
      </c>
      <c r="K142" s="176"/>
      <c r="L142" s="176"/>
      <c r="M142" s="176"/>
    </row>
    <row r="143" spans="2:13" ht="18.75" customHeight="1">
      <c r="B143" s="173" t="s">
        <v>160</v>
      </c>
      <c r="C143" s="174"/>
      <c r="D143" s="117">
        <v>117768.98337</v>
      </c>
      <c r="E143" s="80"/>
      <c r="F143" s="100" t="s">
        <v>147</v>
      </c>
      <c r="G143" s="175" t="s">
        <v>149</v>
      </c>
      <c r="H143" s="175"/>
      <c r="I143" s="116">
        <v>103943.76140999999</v>
      </c>
      <c r="J143" s="176" t="s">
        <v>164</v>
      </c>
      <c r="K143" s="176"/>
      <c r="L143" s="176"/>
      <c r="M143" s="176"/>
    </row>
    <row r="144" spans="7:12" ht="9.75" customHeight="1">
      <c r="G144" s="169"/>
      <c r="H144" s="169"/>
      <c r="I144" s="98"/>
      <c r="J144" s="99"/>
      <c r="K144" s="99"/>
      <c r="L144" s="99"/>
    </row>
    <row r="145" spans="2:12" ht="22.5" customHeight="1">
      <c r="B145" s="170" t="s">
        <v>169</v>
      </c>
      <c r="C145" s="171"/>
      <c r="D145" s="119">
        <v>39345.56828999999</v>
      </c>
      <c r="E145" s="77" t="s">
        <v>104</v>
      </c>
      <c r="G145" s="169"/>
      <c r="H145" s="169"/>
      <c r="I145" s="98"/>
      <c r="J145" s="99"/>
      <c r="K145" s="99"/>
      <c r="L145" s="99"/>
    </row>
    <row r="146" spans="4:15" ht="15.75">
      <c r="D146" s="114"/>
      <c r="N146" s="169"/>
      <c r="O146" s="169"/>
    </row>
    <row r="147" spans="4:15" ht="15.75">
      <c r="D147" s="113"/>
      <c r="I147" s="39"/>
      <c r="N147" s="172"/>
      <c r="O147" s="172"/>
    </row>
    <row r="148" spans="14:15" ht="15.75">
      <c r="N148" s="169"/>
      <c r="O148" s="169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3" t="s">
        <v>246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243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238</v>
      </c>
      <c r="H4" s="189" t="s">
        <v>239</v>
      </c>
      <c r="I4" s="185" t="s">
        <v>188</v>
      </c>
      <c r="J4" s="191" t="s">
        <v>189</v>
      </c>
      <c r="K4" s="165" t="s">
        <v>240</v>
      </c>
      <c r="L4" s="166"/>
      <c r="M4" s="204"/>
      <c r="N4" s="183" t="s">
        <v>247</v>
      </c>
      <c r="O4" s="185" t="s">
        <v>136</v>
      </c>
      <c r="P4" s="185" t="s">
        <v>135</v>
      </c>
      <c r="Q4" s="165" t="s">
        <v>242</v>
      </c>
      <c r="R4" s="166"/>
    </row>
    <row r="5" spans="1:18" ht="82.5" customHeight="1">
      <c r="A5" s="196"/>
      <c r="B5" s="197"/>
      <c r="C5" s="198"/>
      <c r="D5" s="150" t="s">
        <v>209</v>
      </c>
      <c r="E5" s="158" t="s">
        <v>237</v>
      </c>
      <c r="F5" s="207"/>
      <c r="G5" s="188"/>
      <c r="H5" s="190"/>
      <c r="I5" s="186"/>
      <c r="J5" s="192"/>
      <c r="K5" s="180"/>
      <c r="L5" s="181"/>
      <c r="M5" s="151" t="s">
        <v>241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828.87</v>
      </c>
      <c r="G29" s="49">
        <f t="shared" si="0"/>
        <v>66.26999999999998</v>
      </c>
      <c r="H29" s="40">
        <f t="shared" si="6"/>
        <v>108.69000786782061</v>
      </c>
      <c r="I29" s="56">
        <f t="shared" si="7"/>
        <v>-101.13</v>
      </c>
      <c r="J29" s="56">
        <f t="shared" si="8"/>
        <v>89.1258064516129</v>
      </c>
      <c r="K29" s="148">
        <f>F29-2001.3</f>
        <v>-1172.4299999999998</v>
      </c>
      <c r="L29" s="149">
        <f>F29/2001.3</f>
        <v>0.41416579223504724</v>
      </c>
      <c r="M29" s="146">
        <f>E29-травень!E29</f>
        <v>11</v>
      </c>
      <c r="N29" s="40">
        <f>F29-травень!F29</f>
        <v>23.210000000000036</v>
      </c>
      <c r="O29" s="148">
        <f t="shared" si="3"/>
        <v>12.210000000000036</v>
      </c>
      <c r="P29" s="145">
        <f t="shared" si="9"/>
        <v>211.00000000000034</v>
      </c>
      <c r="Q29" s="148">
        <f>N29-403.3</f>
        <v>-380.09</v>
      </c>
      <c r="R29" s="149">
        <f>N29/403.3</f>
        <v>0.05755021076122002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363.3</v>
      </c>
      <c r="G102" s="144"/>
      <c r="H102" s="146"/>
      <c r="I102" s="145"/>
      <c r="J102" s="145"/>
      <c r="K102" s="148">
        <f>F102-244.8</f>
        <v>118.5</v>
      </c>
      <c r="L102" s="149">
        <f>F102/244.8</f>
        <v>1.4840686274509804</v>
      </c>
      <c r="M102" s="40">
        <f>E102-травень!E102</f>
        <v>0</v>
      </c>
      <c r="N102" s="146">
        <f>F102-травень!F102</f>
        <v>72.10000000000002</v>
      </c>
      <c r="O102" s="53"/>
      <c r="P102" s="60"/>
      <c r="Q102" s="60">
        <f>N102-60.1</f>
        <v>12.000000000000021</v>
      </c>
      <c r="R102" s="138">
        <f>N102/60.1</f>
        <v>1.1996672212978372</v>
      </c>
    </row>
    <row r="103" spans="1:18" s="6" customFormat="1" ht="15.75">
      <c r="A103" s="8"/>
      <c r="B103" s="67" t="s">
        <v>100</v>
      </c>
      <c r="C103" s="167">
        <v>24060600</v>
      </c>
      <c r="D103" s="144"/>
      <c r="E103" s="144"/>
      <c r="F103" s="168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v>2488.2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82"/>
      <c r="H138" s="182"/>
      <c r="I138" s="182"/>
      <c r="J138" s="182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79"/>
      <c r="O139" s="179"/>
    </row>
    <row r="140" spans="3:15" ht="15.75">
      <c r="C140" s="120">
        <v>41816</v>
      </c>
      <c r="D140" s="39">
        <v>4277.2</v>
      </c>
      <c r="F140" s="4" t="s">
        <v>166</v>
      </c>
      <c r="G140" s="175" t="s">
        <v>151</v>
      </c>
      <c r="H140" s="175"/>
      <c r="I140" s="115">
        <f>'[1]залишки  (2)'!$G$9/1000</f>
        <v>13825.22196</v>
      </c>
      <c r="J140" s="176" t="s">
        <v>161</v>
      </c>
      <c r="K140" s="176"/>
      <c r="L140" s="176"/>
      <c r="M140" s="176"/>
      <c r="N140" s="179"/>
      <c r="O140" s="179"/>
    </row>
    <row r="141" spans="3:15" ht="15.75">
      <c r="C141" s="120">
        <v>41815</v>
      </c>
      <c r="D141" s="39">
        <v>1877.7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179"/>
      <c r="O141" s="179"/>
    </row>
    <row r="142" spans="7:13" ht="15.75" customHeight="1">
      <c r="G142" s="175" t="s">
        <v>148</v>
      </c>
      <c r="H142" s="175"/>
      <c r="I142" s="112">
        <f>'[1]залишки  (2)'!$G$8/1000</f>
        <v>0</v>
      </c>
      <c r="J142" s="176" t="s">
        <v>163</v>
      </c>
      <c r="K142" s="176"/>
      <c r="L142" s="176"/>
      <c r="M142" s="176"/>
    </row>
    <row r="143" spans="2:13" ht="18.75" customHeight="1">
      <c r="B143" s="173" t="s">
        <v>160</v>
      </c>
      <c r="C143" s="174"/>
      <c r="D143" s="117">
        <v>117976.29</v>
      </c>
      <c r="E143" s="80"/>
      <c r="F143" s="100" t="s">
        <v>147</v>
      </c>
      <c r="G143" s="175" t="s">
        <v>149</v>
      </c>
      <c r="H143" s="175"/>
      <c r="I143" s="116">
        <v>104151.07</v>
      </c>
      <c r="J143" s="176" t="s">
        <v>164</v>
      </c>
      <c r="K143" s="176"/>
      <c r="L143" s="176"/>
      <c r="M143" s="176"/>
    </row>
    <row r="144" spans="7:12" ht="9.75" customHeight="1">
      <c r="G144" s="169"/>
      <c r="H144" s="169"/>
      <c r="I144" s="98"/>
      <c r="J144" s="99"/>
      <c r="K144" s="99"/>
      <c r="L144" s="99"/>
    </row>
    <row r="145" spans="2:12" ht="22.5" customHeight="1">
      <c r="B145" s="170" t="s">
        <v>169</v>
      </c>
      <c r="C145" s="171"/>
      <c r="D145" s="119">
        <v>41386</v>
      </c>
      <c r="E145" s="77" t="s">
        <v>104</v>
      </c>
      <c r="G145" s="169"/>
      <c r="H145" s="169"/>
      <c r="I145" s="98"/>
      <c r="J145" s="99"/>
      <c r="K145" s="99"/>
      <c r="L145" s="99"/>
    </row>
    <row r="146" spans="4:15" ht="15.75">
      <c r="D146" s="114"/>
      <c r="N146" s="169"/>
      <c r="O146" s="169"/>
    </row>
    <row r="147" spans="4:15" ht="15.75">
      <c r="D147" s="113"/>
      <c r="I147" s="39"/>
      <c r="N147" s="172"/>
      <c r="O147" s="172"/>
    </row>
    <row r="148" spans="14:15" ht="15.75">
      <c r="N148" s="169"/>
      <c r="O148" s="169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48" sqref="E14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3" t="s">
        <v>235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233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229</v>
      </c>
      <c r="H4" s="189" t="s">
        <v>230</v>
      </c>
      <c r="I4" s="185" t="s">
        <v>188</v>
      </c>
      <c r="J4" s="191" t="s">
        <v>189</v>
      </c>
      <c r="K4" s="165" t="s">
        <v>231</v>
      </c>
      <c r="L4" s="166"/>
      <c r="M4" s="204"/>
      <c r="N4" s="183" t="s">
        <v>236</v>
      </c>
      <c r="O4" s="185" t="s">
        <v>136</v>
      </c>
      <c r="P4" s="185" t="s">
        <v>135</v>
      </c>
      <c r="Q4" s="165" t="s">
        <v>234</v>
      </c>
      <c r="R4" s="166"/>
    </row>
    <row r="5" spans="1:18" ht="82.5" customHeight="1">
      <c r="A5" s="196"/>
      <c r="B5" s="197"/>
      <c r="C5" s="198"/>
      <c r="D5" s="150" t="s">
        <v>209</v>
      </c>
      <c r="E5" s="158" t="s">
        <v>228</v>
      </c>
      <c r="F5" s="207"/>
      <c r="G5" s="188"/>
      <c r="H5" s="190"/>
      <c r="I5" s="186"/>
      <c r="J5" s="192"/>
      <c r="K5" s="180"/>
      <c r="L5" s="181"/>
      <c r="M5" s="151" t="s">
        <v>232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291.2</v>
      </c>
      <c r="G102" s="144"/>
      <c r="H102" s="146"/>
      <c r="I102" s="145"/>
      <c r="J102" s="145"/>
      <c r="K102" s="148">
        <f>F102-184.7</f>
        <v>106.5</v>
      </c>
      <c r="L102" s="149">
        <f>F102/184.7</f>
        <v>1.576610720086627</v>
      </c>
      <c r="M102" s="40">
        <f>E102-квітень!E102</f>
        <v>0</v>
      </c>
      <c r="N102" s="40">
        <f>F102-квітень!F102</f>
        <v>55.79999999999998</v>
      </c>
      <c r="O102" s="53"/>
      <c r="P102" s="60"/>
      <c r="Q102" s="60">
        <f>N102-45.1</f>
        <v>10.699999999999982</v>
      </c>
      <c r="R102" s="138">
        <f>N102/45.1</f>
        <v>1.2372505543237247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79"/>
      <c r="O138" s="179"/>
    </row>
    <row r="139" spans="3:15" ht="15.75">
      <c r="C139" s="120">
        <v>41788</v>
      </c>
      <c r="D139" s="39">
        <v>5993.3</v>
      </c>
      <c r="F139" s="4" t="s">
        <v>166</v>
      </c>
      <c r="G139" s="175" t="s">
        <v>151</v>
      </c>
      <c r="H139" s="175"/>
      <c r="I139" s="115">
        <v>13825.22196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41787</v>
      </c>
      <c r="D140" s="39">
        <v>2595.2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118982.48</v>
      </c>
      <c r="E142" s="80"/>
      <c r="F142" s="100" t="s">
        <v>147</v>
      </c>
      <c r="G142" s="175" t="s">
        <v>149</v>
      </c>
      <c r="H142" s="175"/>
      <c r="I142" s="116">
        <v>105157.26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v>27359.4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9" sqref="F1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3" t="s">
        <v>226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221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217</v>
      </c>
      <c r="H4" s="189" t="s">
        <v>218</v>
      </c>
      <c r="I4" s="185" t="s">
        <v>188</v>
      </c>
      <c r="J4" s="191" t="s">
        <v>189</v>
      </c>
      <c r="K4" s="165" t="s">
        <v>219</v>
      </c>
      <c r="L4" s="166"/>
      <c r="M4" s="204"/>
      <c r="N4" s="183" t="s">
        <v>227</v>
      </c>
      <c r="O4" s="185" t="s">
        <v>136</v>
      </c>
      <c r="P4" s="185" t="s">
        <v>135</v>
      </c>
      <c r="Q4" s="165" t="s">
        <v>222</v>
      </c>
      <c r="R4" s="166"/>
    </row>
    <row r="5" spans="1:18" ht="82.5" customHeight="1">
      <c r="A5" s="196"/>
      <c r="B5" s="197"/>
      <c r="C5" s="198"/>
      <c r="D5" s="150" t="s">
        <v>209</v>
      </c>
      <c r="E5" s="158" t="s">
        <v>216</v>
      </c>
      <c r="F5" s="207"/>
      <c r="G5" s="188"/>
      <c r="H5" s="190"/>
      <c r="I5" s="186"/>
      <c r="J5" s="192"/>
      <c r="K5" s="180"/>
      <c r="L5" s="181"/>
      <c r="M5" s="151" t="s">
        <v>220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235.4</v>
      </c>
      <c r="G102" s="144"/>
      <c r="H102" s="146"/>
      <c r="I102" s="145"/>
      <c r="J102" s="145"/>
      <c r="K102" s="148">
        <f>F102-139.6</f>
        <v>95.80000000000001</v>
      </c>
      <c r="L102" s="149">
        <f>F102/139.6</f>
        <v>1.686246418338109</v>
      </c>
      <c r="M102" s="40">
        <f>E102-березень!E102</f>
        <v>0</v>
      </c>
      <c r="N102" s="40">
        <f>F102-березень!F102</f>
        <v>62.80000000000001</v>
      </c>
      <c r="O102" s="53"/>
      <c r="P102" s="60"/>
      <c r="Q102" s="60">
        <f>N102-51</f>
        <v>11.800000000000011</v>
      </c>
      <c r="R102" s="138">
        <f>N102/51</f>
        <v>1.2313725490196081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79"/>
      <c r="O138" s="179"/>
    </row>
    <row r="139" spans="3:15" ht="15.75">
      <c r="C139" s="120">
        <v>41758</v>
      </c>
      <c r="D139" s="39">
        <v>5440.9</v>
      </c>
      <c r="F139" s="4" t="s">
        <v>166</v>
      </c>
      <c r="G139" s="175" t="s">
        <v>151</v>
      </c>
      <c r="H139" s="175"/>
      <c r="I139" s="115">
        <v>13825.22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41757</v>
      </c>
      <c r="D140" s="39">
        <v>1923.2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123251.48</v>
      </c>
      <c r="E142" s="80"/>
      <c r="F142" s="100" t="s">
        <v>147</v>
      </c>
      <c r="G142" s="175" t="s">
        <v>149</v>
      </c>
      <c r="H142" s="175"/>
      <c r="I142" s="116">
        <v>109426.25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f>'[1]надх'!$B$52/1000</f>
        <v>39345.56828999999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2" sqref="F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93" t="s">
        <v>212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208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210</v>
      </c>
      <c r="N3" s="205" t="s">
        <v>198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207</v>
      </c>
      <c r="H4" s="189" t="s">
        <v>195</v>
      </c>
      <c r="I4" s="185" t="s">
        <v>188</v>
      </c>
      <c r="J4" s="191" t="s">
        <v>189</v>
      </c>
      <c r="K4" s="165" t="s">
        <v>196</v>
      </c>
      <c r="L4" s="166"/>
      <c r="M4" s="204"/>
      <c r="N4" s="183" t="s">
        <v>213</v>
      </c>
      <c r="O4" s="185" t="s">
        <v>136</v>
      </c>
      <c r="P4" s="185" t="s">
        <v>135</v>
      </c>
      <c r="Q4" s="165" t="s">
        <v>197</v>
      </c>
      <c r="R4" s="166"/>
    </row>
    <row r="5" spans="1:18" ht="82.5" customHeight="1">
      <c r="A5" s="196"/>
      <c r="B5" s="197"/>
      <c r="C5" s="198"/>
      <c r="D5" s="150" t="s">
        <v>209</v>
      </c>
      <c r="E5" s="158" t="s">
        <v>214</v>
      </c>
      <c r="F5" s="207"/>
      <c r="G5" s="188"/>
      <c r="H5" s="190"/>
      <c r="I5" s="186"/>
      <c r="J5" s="192"/>
      <c r="K5" s="180"/>
      <c r="L5" s="181"/>
      <c r="M5" s="151" t="s">
        <v>211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172.6</v>
      </c>
      <c r="G102" s="144"/>
      <c r="H102" s="146"/>
      <c r="I102" s="145"/>
      <c r="J102" s="145"/>
      <c r="K102" s="148">
        <f>F102-88.6</f>
        <v>84</v>
      </c>
      <c r="L102" s="149">
        <f>F102/88.6</f>
        <v>1.9480812641083523</v>
      </c>
      <c r="M102" s="40">
        <f>E102-лютий!E102</f>
        <v>0</v>
      </c>
      <c r="N102" s="40">
        <f>F102-лютий!F102</f>
        <v>42.5</v>
      </c>
      <c r="O102" s="53"/>
      <c r="P102" s="60"/>
      <c r="Q102" s="60">
        <f>N102-31.4</f>
        <v>11.100000000000001</v>
      </c>
      <c r="R102" s="135">
        <f>N102/31.4</f>
        <v>1.3535031847133758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79"/>
      <c r="O138" s="179"/>
    </row>
    <row r="139" spans="3:15" ht="15.75">
      <c r="C139" s="120">
        <v>41726</v>
      </c>
      <c r="D139" s="39">
        <v>4682.6</v>
      </c>
      <c r="F139" s="4" t="s">
        <v>166</v>
      </c>
      <c r="G139" s="175" t="s">
        <v>151</v>
      </c>
      <c r="H139" s="175"/>
      <c r="I139" s="115">
        <v>13825.22196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41725</v>
      </c>
      <c r="D140" s="39">
        <v>3360.7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114985.02570999999</v>
      </c>
      <c r="E142" s="80"/>
      <c r="F142" s="100" t="s">
        <v>147</v>
      </c>
      <c r="G142" s="175" t="s">
        <v>149</v>
      </c>
      <c r="H142" s="175"/>
      <c r="I142" s="116">
        <v>101159.80375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v>3918.1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8"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  <mergeCell ref="N4:N5"/>
    <mergeCell ref="O4:O5"/>
    <mergeCell ref="P4:P5"/>
    <mergeCell ref="G137:J137"/>
    <mergeCell ref="N138:O138"/>
    <mergeCell ref="G139:H139"/>
    <mergeCell ref="J139:M139"/>
    <mergeCell ref="N139:O139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E13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22" sqref="E12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93" t="s">
        <v>193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209" t="s">
        <v>187</v>
      </c>
      <c r="E3" s="46"/>
      <c r="F3" s="210" t="s">
        <v>107</v>
      </c>
      <c r="G3" s="211"/>
      <c r="H3" s="211"/>
      <c r="I3" s="211"/>
      <c r="J3" s="212"/>
      <c r="K3" s="123"/>
      <c r="L3" s="123"/>
      <c r="M3" s="213" t="s">
        <v>190</v>
      </c>
      <c r="N3" s="208" t="s">
        <v>185</v>
      </c>
      <c r="O3" s="208"/>
      <c r="P3" s="208"/>
      <c r="Q3" s="208"/>
      <c r="R3" s="208"/>
    </row>
    <row r="4" spans="1:18" ht="22.5" customHeight="1">
      <c r="A4" s="195"/>
      <c r="B4" s="197"/>
      <c r="C4" s="198"/>
      <c r="D4" s="209"/>
      <c r="E4" s="214" t="s">
        <v>191</v>
      </c>
      <c r="F4" s="216" t="s">
        <v>116</v>
      </c>
      <c r="G4" s="218" t="s">
        <v>167</v>
      </c>
      <c r="H4" s="189" t="s">
        <v>168</v>
      </c>
      <c r="I4" s="220" t="s">
        <v>188</v>
      </c>
      <c r="J4" s="222" t="s">
        <v>189</v>
      </c>
      <c r="K4" s="125" t="s">
        <v>174</v>
      </c>
      <c r="L4" s="130" t="s">
        <v>173</v>
      </c>
      <c r="M4" s="213"/>
      <c r="N4" s="183" t="s">
        <v>194</v>
      </c>
      <c r="O4" s="220" t="s">
        <v>136</v>
      </c>
      <c r="P4" s="208" t="s">
        <v>135</v>
      </c>
      <c r="Q4" s="131" t="s">
        <v>174</v>
      </c>
      <c r="R4" s="132" t="s">
        <v>173</v>
      </c>
    </row>
    <row r="5" spans="1:18" ht="82.5" customHeight="1">
      <c r="A5" s="196"/>
      <c r="B5" s="197"/>
      <c r="C5" s="198"/>
      <c r="D5" s="209"/>
      <c r="E5" s="215"/>
      <c r="F5" s="217"/>
      <c r="G5" s="219"/>
      <c r="H5" s="190"/>
      <c r="I5" s="221"/>
      <c r="J5" s="223"/>
      <c r="K5" s="180" t="s">
        <v>184</v>
      </c>
      <c r="L5" s="181"/>
      <c r="M5" s="213"/>
      <c r="N5" s="184"/>
      <c r="O5" s="221"/>
      <c r="P5" s="208"/>
      <c r="Q5" s="180" t="s">
        <v>199</v>
      </c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130.1</v>
      </c>
      <c r="G102" s="144"/>
      <c r="H102" s="146"/>
      <c r="I102" s="145"/>
      <c r="J102" s="145"/>
      <c r="K102" s="148">
        <f>F102-54.4</f>
        <v>75.69999999999999</v>
      </c>
      <c r="L102" s="149">
        <f>F102/54.4</f>
        <v>2.391544117647059</v>
      </c>
      <c r="M102" s="146">
        <f>E102-'січень '!E102</f>
        <v>0</v>
      </c>
      <c r="N102" s="146">
        <f>F102-'січень '!F102</f>
        <v>65.19999999999999</v>
      </c>
      <c r="O102" s="53"/>
      <c r="P102" s="60"/>
      <c r="Q102" s="60">
        <f>N102-26.6</f>
        <v>38.59999999999999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79"/>
      <c r="O138" s="179"/>
    </row>
    <row r="139" spans="3:15" ht="15.75">
      <c r="C139" s="120">
        <v>41697</v>
      </c>
      <c r="D139" s="39">
        <v>2276.8</v>
      </c>
      <c r="F139" s="4" t="s">
        <v>166</v>
      </c>
      <c r="G139" s="175" t="s">
        <v>151</v>
      </c>
      <c r="H139" s="175"/>
      <c r="I139" s="115">
        <v>13825.22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41696</v>
      </c>
      <c r="D140" s="39">
        <v>3746.1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f>'[1]залишки  (2)'!$G$8/1000</f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121970.53</v>
      </c>
      <c r="E142" s="80"/>
      <c r="F142" s="100" t="s">
        <v>147</v>
      </c>
      <c r="G142" s="175" t="s">
        <v>149</v>
      </c>
      <c r="H142" s="175"/>
      <c r="I142" s="116">
        <v>108145.31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v>0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93" t="s">
        <v>183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209" t="s">
        <v>192</v>
      </c>
      <c r="E3" s="46"/>
      <c r="F3" s="210" t="s">
        <v>107</v>
      </c>
      <c r="G3" s="211"/>
      <c r="H3" s="211"/>
      <c r="I3" s="211"/>
      <c r="J3" s="212"/>
      <c r="K3" s="123"/>
      <c r="L3" s="123"/>
      <c r="M3" s="191" t="s">
        <v>200</v>
      </c>
      <c r="N3" s="208" t="s">
        <v>178</v>
      </c>
      <c r="O3" s="208"/>
      <c r="P3" s="208"/>
      <c r="Q3" s="208"/>
      <c r="R3" s="208"/>
    </row>
    <row r="4" spans="1:18" ht="22.5" customHeight="1">
      <c r="A4" s="195"/>
      <c r="B4" s="197"/>
      <c r="C4" s="198"/>
      <c r="D4" s="209"/>
      <c r="E4" s="214" t="s">
        <v>153</v>
      </c>
      <c r="F4" s="216" t="s">
        <v>116</v>
      </c>
      <c r="G4" s="218" t="s">
        <v>175</v>
      </c>
      <c r="H4" s="189" t="s">
        <v>176</v>
      </c>
      <c r="I4" s="220" t="s">
        <v>188</v>
      </c>
      <c r="J4" s="222" t="s">
        <v>189</v>
      </c>
      <c r="K4" s="125" t="s">
        <v>174</v>
      </c>
      <c r="L4" s="130" t="s">
        <v>173</v>
      </c>
      <c r="M4" s="224"/>
      <c r="N4" s="183" t="s">
        <v>186</v>
      </c>
      <c r="O4" s="220" t="s">
        <v>136</v>
      </c>
      <c r="P4" s="208" t="s">
        <v>135</v>
      </c>
      <c r="Q4" s="131" t="s">
        <v>174</v>
      </c>
      <c r="R4" s="132" t="s">
        <v>173</v>
      </c>
    </row>
    <row r="5" spans="1:18" ht="82.5" customHeight="1">
      <c r="A5" s="196"/>
      <c r="B5" s="197"/>
      <c r="C5" s="198"/>
      <c r="D5" s="209"/>
      <c r="E5" s="215"/>
      <c r="F5" s="217"/>
      <c r="G5" s="219"/>
      <c r="H5" s="190"/>
      <c r="I5" s="221"/>
      <c r="J5" s="223"/>
      <c r="K5" s="180" t="s">
        <v>177</v>
      </c>
      <c r="L5" s="181"/>
      <c r="M5" s="192"/>
      <c r="N5" s="184"/>
      <c r="O5" s="221"/>
      <c r="P5" s="208"/>
      <c r="Q5" s="180" t="s">
        <v>179</v>
      </c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</v>
      </c>
      <c r="G102" s="144"/>
      <c r="H102" s="146"/>
      <c r="I102" s="145"/>
      <c r="J102" s="145"/>
      <c r="K102" s="145">
        <f>F102-30.6</f>
        <v>34.300000000000004</v>
      </c>
      <c r="L102" s="148">
        <f>F102/30.6*100</f>
        <v>212.09150326797385</v>
      </c>
      <c r="M102" s="40">
        <f t="shared" si="39"/>
        <v>0</v>
      </c>
      <c r="N102" s="40">
        <f t="shared" si="40"/>
        <v>64.9</v>
      </c>
      <c r="O102" s="53"/>
      <c r="P102" s="56"/>
      <c r="Q102" s="56">
        <f>N102-30.6</f>
        <v>34.300000000000004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79"/>
      <c r="O138" s="179"/>
    </row>
    <row r="139" spans="3:15" ht="15.75">
      <c r="C139" s="120">
        <v>41669</v>
      </c>
      <c r="D139" s="39">
        <v>4752.2</v>
      </c>
      <c r="F139" s="4" t="s">
        <v>166</v>
      </c>
      <c r="G139" s="175" t="s">
        <v>151</v>
      </c>
      <c r="H139" s="175"/>
      <c r="I139" s="115">
        <v>13825.22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41668</v>
      </c>
      <c r="D140" s="39">
        <v>1984.7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111410.62</v>
      </c>
      <c r="E142" s="80"/>
      <c r="F142" s="100" t="s">
        <v>147</v>
      </c>
      <c r="G142" s="175" t="s">
        <v>149</v>
      </c>
      <c r="H142" s="175"/>
      <c r="I142" s="116">
        <v>97585.4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v>0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2014-07-18T10:52:14Z</cp:lastPrinted>
  <dcterms:created xsi:type="dcterms:W3CDTF">2003-07-28T11:27:56Z</dcterms:created>
  <dcterms:modified xsi:type="dcterms:W3CDTF">2014-07-18T11:05:35Z</dcterms:modified>
  <cp:category/>
  <cp:version/>
  <cp:contentType/>
  <cp:contentStatus/>
</cp:coreProperties>
</file>